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tor" sheetId="1" r:id="rId1"/>
    <sheet name="Breakeven" sheetId="2" r:id="rId2"/>
    <sheet name="Rates" sheetId="3" r:id="rId3"/>
    <sheet name="Anchors" sheetId="4" r:id="rId4"/>
    <sheet name="Notes" sheetId="5" r:id="rId5"/>
  </sheets>
  <calcPr calcMode="auto" fullCalcOnLoad="1"/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Old vs new tax regime, FY 2026-27. Yellow inputs are yours. Other numbers are formulas.</t>
        </is>
      </c>
    </row>
    <row r="2">
      <c r="A2" t="inlineStr">
        <is>
          <t>Gross income</t>
        </is>
      </c>
      <c r="B2">
        <v>1800000</v>
      </c>
    </row>
    <row r="3">
      <c r="A3" t="inlineStr">
        <is>
          <t>Salaried (1 = yes)</t>
        </is>
      </c>
      <c r="B3">
        <v>1</v>
      </c>
    </row>
    <row r="4">
      <c r="A4" t="inlineStr">
        <is>
          <t>Resident (1 = yes)</t>
        </is>
      </c>
      <c r="B4">
        <v>1</v>
      </c>
    </row>
    <row r="5">
      <c r="A5" t="inlineStr">
        <is>
          <t>Age (0 under 60, 1 senior, 2 age 80+)</t>
        </is>
      </c>
      <c r="B5">
        <v>0</v>
      </c>
    </row>
    <row r="6">
      <c r="A6" t="inlineStr">
        <is>
          <t>Section 123 (was 80C)</t>
        </is>
      </c>
      <c r="B6">
        <v>150000</v>
      </c>
    </row>
    <row r="7">
      <c r="A7" t="inlineStr">
        <is>
          <t>Section 126 (was 80D), combined ceiling</t>
        </is>
      </c>
      <c r="B7">
        <v>25000</v>
      </c>
    </row>
    <row r="8">
      <c r="A8" t="inlineStr">
        <is>
          <t>Section 124(3) (was 80CCD(1B))</t>
        </is>
      </c>
      <c r="B8">
        <v>50000</v>
      </c>
    </row>
    <row r="9">
      <c r="A9" t="inlineStr">
        <is>
          <t>Section 22(1)(b) home-loan interest</t>
        </is>
      </c>
      <c r="B9">
        <v>0</v>
      </c>
    </row>
    <row r="10">
      <c r="A10" t="inlineStr">
        <is>
          <t>HRA exemption</t>
        </is>
      </c>
      <c r="B10">
        <v>120000</v>
      </c>
    </row>
    <row r="11">
      <c r="A11" t="inlineStr">
        <is>
          <t>Other old-regime deductions</t>
        </is>
      </c>
      <c r="B11">
        <v>0</v>
      </c>
    </row>
    <row r="12">
      <c r="A12" t="inlineStr">
        <is>
          <t>Employer NPS contributed</t>
        </is>
      </c>
      <c r="B12">
        <v>0</v>
      </c>
    </row>
    <row r="13">
      <c r="A13" t="inlineStr">
        <is>
          <t>Basic pay plus DA</t>
        </is>
      </c>
      <c r="B13">
        <v>0</v>
      </c>
    </row>
    <row r="14">
      <c r="A14" t="inlineStr">
        <is>
          <t>Government employer (1 = yes)</t>
        </is>
      </c>
      <c r="B14">
        <v>0</v>
      </c>
    </row>
    <row r="15">
      <c r="A15" t="inlineStr">
        <is>
          <t>Professional tax paid</t>
        </is>
      </c>
      <c r="B15">
        <v>0</v>
      </c>
    </row>
    <row r="19">
      <c r="C19" t="inlineStr">
        <is>
          <t>New regime</t>
        </is>
      </c>
      <c r="D19" t="inlineStr">
        <is>
          <t>Old regime</t>
        </is>
      </c>
    </row>
    <row r="20">
      <c r="A20" t="inlineStr">
        <is>
          <t>Standard deduction</t>
        </is>
      </c>
      <c r="C20">
        <f>IF(B3=1,Rates!B2,0)</f>
        <v>75000</v>
      </c>
      <c r="D20">
        <f>IF(B3=1,Rates!B3,0)</f>
        <v>50000</v>
      </c>
    </row>
    <row r="21">
      <c r="A21" t="inlineStr">
        <is>
          <t>Employer NPS allowed</t>
        </is>
      </c>
      <c r="C21">
        <f>IF(OR(B3&lt;&gt;1,B12&lt;=0,B13&lt;=0),0,MIN(B12,B13*Rates!B14))</f>
        <v>0</v>
      </c>
      <c r="D21">
        <f>IF(OR(B3&lt;&gt;1,B12&lt;=0,B13&lt;=0),0,MIN(B12,B13*IF(B14=1,Rates!B14,Rates!B15)))</f>
        <v>0</v>
      </c>
    </row>
    <row r="22">
      <c r="A22" t="inlineStr">
        <is>
          <t>Itemised deductions</t>
        </is>
      </c>
      <c r="C22">
        <f>0</f>
        <v>0</v>
      </c>
      <c r="D22">
        <f>MIN(MAX(0,B6),Rates!B9)+MIN(MAX(0,B7),Rates!B10)+MIN(MAX(0,B8),Rates!B11)+MIN(MAX(0,B9),Rates!B12)+MAX(0,B10)+MAX(0,B11)</f>
        <v>345000</v>
      </c>
    </row>
    <row r="23">
      <c r="A23" t="inlineStr">
        <is>
          <t>Professional tax allowed</t>
        </is>
      </c>
      <c r="C23">
        <f>0</f>
        <v>0</v>
      </c>
      <c r="D23">
        <f>MIN(Rates!B13,MAX(0,B15))</f>
        <v>0</v>
      </c>
    </row>
    <row r="24">
      <c r="A24" t="inlineStr">
        <is>
          <t>Taxable income</t>
        </is>
      </c>
      <c r="C24">
        <f>MAX(0,B2-C20-C21)</f>
        <v>1725000</v>
      </c>
      <c r="D24">
        <f>MAX(0,B2-D20-D21-D22-D23)</f>
        <v>1405000</v>
      </c>
    </row>
    <row r="25">
      <c r="A25" t="inlineStr">
        <is>
          <t>Slab tax</t>
        </is>
      </c>
      <c r="C25">
        <f>MAX(0,C24-Rates!B16)*Rates!B35+MAX(0,C24-Rates!B17)*Rates!B35+MAX(0,C24-Rates!B18)*Rates!B35+MAX(0,C24-Rates!B19)*Rates!B35+MAX(0,C24-Rates!B20)*Rates!B35+MAX(0,C24-Rates!B21)*Rates!B35</f>
        <v>145000</v>
      </c>
      <c r="D25">
        <f>IF(OR(B4&lt;&gt;1,B5=0),MAX(0,D24-Rates!B22)*Rates!B36+MAX(0,D24-Rates!B23)*Rates!B37+MAX(0,D24-Rates!B24)*Rates!B38,IF(B5=1,MAX(0,D24-Rates!B25)*Rates!B36+MAX(0,D24-Rates!B23)*Rates!B37+MAX(0,D24-Rates!B24)*Rates!B38,MAX(0,D24-Rates!B26)*Rates!B39+MAX(0,D24-Rates!B24)*Rates!B38))</f>
        <v>234000</v>
      </c>
    </row>
    <row r="26">
      <c r="A26" t="inlineStr">
        <is>
          <t>Rebate</t>
        </is>
      </c>
      <c r="C26">
        <f>IF(OR(B4&lt;&gt;1,C25&lt;=0),0,IF(C24&lt;=Rates!B4,MIN(C25,Rates!B5),IF(C25&gt;C24-Rates!B4,C25-(C24-Rates!B4),0)))</f>
        <v>0</v>
      </c>
      <c r="D26">
        <f>IF(AND(B4=1,D24&lt;=Rates!B6),MIN(D25,Rates!B7),0)</f>
        <v>0</v>
      </c>
    </row>
    <row r="27">
      <c r="A27" t="inlineStr">
        <is>
          <t>Tax after rebate</t>
        </is>
      </c>
      <c r="C27">
        <f>MAX(0,C25-C26)</f>
        <v>145000</v>
      </c>
      <c r="D27">
        <f>MAX(0,D25-D26)</f>
        <v>234000</v>
      </c>
    </row>
    <row r="28">
      <c r="A28" t="inlineStr">
        <is>
          <t>Surcharge rate</t>
        </is>
      </c>
      <c r="C28">
        <f>IF(C24&gt;Rates!B29,Rates!B33,IF(C24&gt;Rates!B28,Rates!B32,IF(C24&gt;Rates!B27,Rates!B31,0)))</f>
        <v>0</v>
      </c>
      <c r="D28">
        <f>IF(D24&gt;Rates!B30,Rates!B34,IF(D24&gt;Rates!B29,Rates!B33,IF(D24&gt;Rates!B28,Rates!B32,IF(D24&gt;Rates!B27,Rates!B31,0))))</f>
        <v>0</v>
      </c>
    </row>
    <row r="29">
      <c r="A29" t="inlineStr">
        <is>
          <t>Surcharge threshold</t>
        </is>
      </c>
      <c r="C29">
        <f>IF(C24&gt;Rates!B29,Rates!B29,IF(C24&gt;Rates!B28,Rates!B28,IF(C24&gt;Rates!B27,Rates!B27,0)))</f>
        <v>0</v>
      </c>
      <c r="D29">
        <f>IF(D24&gt;Rates!B30,Rates!B30,IF(D24&gt;Rates!B29,Rates!B29,IF(D24&gt;Rates!B28,Rates!B28,IF(D24&gt;Rates!B27,Rates!B27,0))))</f>
        <v>0</v>
      </c>
    </row>
    <row r="30">
      <c r="A30" t="inlineStr">
        <is>
          <t>Tax at threshold</t>
        </is>
      </c>
      <c r="C30">
        <f>IF(C24&gt;Rates!B29,Anchors!D5,IF(C24&gt;Rates!B28,Anchors!C5,IF(C24&gt;Rates!B27,Anchors!B5,0)))</f>
        <v>0</v>
      </c>
      <c r="D30">
        <f>IF(OR(B4&lt;&gt;1,B5=0),IF(D24&gt;Rates!B30,Anchors!E12,IF(D24&gt;Rates!B29,Anchors!D12,IF(D24&gt;Rates!B28,Anchors!C12,IF(D24&gt;Rates!B27,Anchors!B12,0)))),IF(B5=1,IF(D24&gt;Rates!B30,Anchors!E18,IF(D24&gt;Rates!B29,Anchors!D18,IF(D24&gt;Rates!B28,Anchors!C18,IF(D24&gt;Rates!B27,Anchors!B18,0)))),IF(D24&gt;Rates!B30,Anchors!E24,IF(D24&gt;Rates!B29,Anchors!D24,IF(D24&gt;Rates!B28,Anchors!C24,IF(D24&gt;Rates!B27,Anchors!B24,0))))))</f>
        <v>0</v>
      </c>
    </row>
    <row r="31">
      <c r="A31" t="inlineStr">
        <is>
          <t>Surcharge at threshold</t>
        </is>
      </c>
      <c r="C31">
        <f>IF(C24&gt;Rates!B29,Anchors!D6,IF(C24&gt;Rates!B28,Anchors!C6,IF(C24&gt;Rates!B27,Anchors!B6,0)))</f>
        <v>0</v>
      </c>
      <c r="D31">
        <f>IF(OR(B4&lt;&gt;1,B5=0),IF(D24&gt;Rates!B30,Anchors!E13,IF(D24&gt;Rates!B29,Anchors!D13,IF(D24&gt;Rates!B28,Anchors!C13,IF(D24&gt;Rates!B27,Anchors!B13,0)))),IF(B5=1,IF(D24&gt;Rates!B30,Anchors!E19,IF(D24&gt;Rates!B29,Anchors!D19,IF(D24&gt;Rates!B28,Anchors!C19,IF(D24&gt;Rates!B27,Anchors!B19,0)))),IF(D24&gt;Rates!B30,Anchors!E25,IF(D24&gt;Rates!B29,Anchors!D25,IF(D24&gt;Rates!B28,Anchors!C25,IF(D24&gt;Rates!B27,Anchors!B25,0))))))</f>
        <v>0</v>
      </c>
    </row>
    <row r="32">
      <c r="A32" t="inlineStr">
        <is>
          <t>Surcharge</t>
        </is>
      </c>
      <c r="C32">
        <f>IF(OR(C28=0,C27&lt;=0),0,IF(C27+C27*C28&gt;C30+C31+C24-C29,MAX(0,C30+C31+C24-C29-C27),C27*C28))</f>
        <v>0</v>
      </c>
      <c r="D32">
        <f>IF(OR(D28=0,D27&lt;=0),0,IF(D27+D27*D28&gt;D30+D31+D24-D29,MAX(0,D30+D31+D24-D29-D27),D27*D28))</f>
        <v>0</v>
      </c>
    </row>
    <row r="33">
      <c r="A33" t="inlineStr">
        <is>
          <t>Cess</t>
        </is>
      </c>
      <c r="C33">
        <f>(C27+C32)*Rates!B8</f>
        <v>5800</v>
      </c>
      <c r="D33">
        <f>(D27+D32)*Rates!B8</f>
        <v>9360</v>
      </c>
    </row>
    <row r="34">
      <c r="A34" t="inlineStr">
        <is>
          <t>Total tax</t>
        </is>
      </c>
      <c r="C34">
        <f>ROUND(C27,0)+ROUND(C32,0)+ROUND(C33,0)</f>
        <v>150800</v>
      </c>
      <c r="D34">
        <f>ROUND(D27,0)+ROUND(D32,0)+ROUND(D33,0)</f>
        <v>243360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Salary</t>
        </is>
      </c>
      <c r="B1" t="inlineStr">
        <is>
          <t>New taxable</t>
        </is>
      </c>
      <c r="C1" t="inlineStr">
        <is>
          <t>New slab tax</t>
        </is>
      </c>
      <c r="D1" t="inlineStr">
        <is>
          <t>New rebate</t>
        </is>
      </c>
      <c r="E1" t="inlineStr">
        <is>
          <t>New tax after rebate</t>
        </is>
      </c>
      <c r="F1" t="inlineStr">
        <is>
          <t>New cess</t>
        </is>
      </c>
      <c r="G1" t="inlineStr">
        <is>
          <t>New total tax</t>
        </is>
      </c>
      <c r="H1" t="inlineStr">
        <is>
          <t>Breakeven old-regime deductions</t>
        </is>
      </c>
      <c r="I1" t="inlineStr">
        <is>
          <t>Old taxable at that deduction</t>
        </is>
      </c>
      <c r="J1" t="inlineStr">
        <is>
          <t>Old slab tax</t>
        </is>
      </c>
      <c r="K1" t="inlineStr">
        <is>
          <t>Old rebate</t>
        </is>
      </c>
      <c r="L1" t="inlineStr">
        <is>
          <t>Old tax after rebate</t>
        </is>
      </c>
      <c r="M1" t="inlineStr">
        <is>
          <t>Old cess</t>
        </is>
      </c>
      <c r="N1" t="inlineStr">
        <is>
          <t>Old total tax</t>
        </is>
      </c>
    </row>
    <row r="2">
      <c r="A2">
        <v>700000</v>
      </c>
      <c r="B2">
        <f>MAX(0,A2-Rates!B2)</f>
        <v>625000</v>
      </c>
      <c r="C2">
        <f>MAX(0,B2-Rates!B16)*Rates!B35+MAX(0,B2-Rates!B17)*Rates!B35+MAX(0,B2-Rates!B18)*Rates!B35+MAX(0,B2-Rates!B19)*Rates!B35+MAX(0,B2-Rates!B20)*Rates!B35+MAX(0,B2-Rates!B21)*Rates!B35</f>
        <v>11250</v>
      </c>
      <c r="D2">
        <f>IF(OR(1&lt;&gt;1,C2&lt;=0),0,IF(B2&lt;=Rates!B4,MIN(C2,Rates!B5),IF(C2&gt;B2-Rates!B4,C2-(B2-Rates!B4),0)))</f>
        <v>11250</v>
      </c>
      <c r="E2">
        <f>MAX(0,C2-D2)</f>
        <v>0</v>
      </c>
      <c r="F2">
        <f>E2*Rates!B8</f>
        <v>0</v>
      </c>
      <c r="G2">
        <f>ROUND(E2,0)+ROUND(F2,0)</f>
        <v>0</v>
      </c>
      <c r="H2">
        <v>150000</v>
      </c>
      <c r="I2">
        <f>MAX(0,A2-Rates!B3-H2)</f>
        <v>500000</v>
      </c>
      <c r="J2">
        <f>MAX(0,I2-Rates!B22)*Rates!B36+MAX(0,I2-Rates!B23)*Rates!B37+MAX(0,I2-Rates!B24)*Rates!B38</f>
        <v>12500</v>
      </c>
      <c r="K2">
        <f>IF(AND(1=1,I2&lt;=Rates!B6),MIN(J2,Rates!B7),0)</f>
        <v>12500</v>
      </c>
      <c r="L2">
        <f>MAX(0,J2-K2)</f>
        <v>0</v>
      </c>
      <c r="M2">
        <f>L2*Rates!B8</f>
        <v>0</v>
      </c>
      <c r="N2">
        <f>ROUND(L2,0)+ROUND(M2,0)</f>
        <v>0</v>
      </c>
    </row>
    <row r="3">
      <c r="A3">
        <v>800000</v>
      </c>
      <c r="B3">
        <f>MAX(0,A3-Rates!B2)</f>
        <v>725000</v>
      </c>
      <c r="C3">
        <f>MAX(0,B3-Rates!B16)*Rates!B35+MAX(0,B3-Rates!B17)*Rates!B35+MAX(0,B3-Rates!B18)*Rates!B35+MAX(0,B3-Rates!B19)*Rates!B35+MAX(0,B3-Rates!B20)*Rates!B35+MAX(0,B3-Rates!B21)*Rates!B35</f>
        <v>16250</v>
      </c>
      <c r="D3">
        <f>IF(OR(1&lt;&gt;1,C3&lt;=0),0,IF(B3&lt;=Rates!B4,MIN(C3,Rates!B5),IF(C3&gt;B3-Rates!B4,C3-(B3-Rates!B4),0)))</f>
        <v>16250</v>
      </c>
      <c r="E3">
        <f>MAX(0,C3-D3)</f>
        <v>0</v>
      </c>
      <c r="F3">
        <f>E3*Rates!B8</f>
        <v>0</v>
      </c>
      <c r="G3">
        <f>ROUND(E3,0)+ROUND(F3,0)</f>
        <v>0</v>
      </c>
      <c r="H3">
        <v>250000</v>
      </c>
      <c r="I3">
        <f>MAX(0,A3-Rates!B3-H3)</f>
        <v>500000</v>
      </c>
      <c r="J3">
        <f>MAX(0,I3-Rates!B22)*Rates!B36+MAX(0,I3-Rates!B23)*Rates!B37+MAX(0,I3-Rates!B24)*Rates!B38</f>
        <v>12500</v>
      </c>
      <c r="K3">
        <f>IF(AND(1=1,I3&lt;=Rates!B6),MIN(J3,Rates!B7),0)</f>
        <v>12500</v>
      </c>
      <c r="L3">
        <f>MAX(0,J3-K3)</f>
        <v>0</v>
      </c>
      <c r="M3">
        <f>L3*Rates!B8</f>
        <v>0</v>
      </c>
      <c r="N3">
        <f>ROUND(L3,0)+ROUND(M3,0)</f>
        <v>0</v>
      </c>
    </row>
    <row r="4">
      <c r="A4">
        <v>900000</v>
      </c>
      <c r="B4">
        <f>MAX(0,A4-Rates!B2)</f>
        <v>825000</v>
      </c>
      <c r="C4">
        <f>MAX(0,B4-Rates!B16)*Rates!B35+MAX(0,B4-Rates!B17)*Rates!B35+MAX(0,B4-Rates!B18)*Rates!B35+MAX(0,B4-Rates!B19)*Rates!B35+MAX(0,B4-Rates!B20)*Rates!B35+MAX(0,B4-Rates!B21)*Rates!B35</f>
        <v>22500</v>
      </c>
      <c r="D4">
        <f>IF(OR(1&lt;&gt;1,C4&lt;=0),0,IF(B4&lt;=Rates!B4,MIN(C4,Rates!B5),IF(C4&gt;B4-Rates!B4,C4-(B4-Rates!B4),0)))</f>
        <v>22500</v>
      </c>
      <c r="E4">
        <f>MAX(0,C4-D4)</f>
        <v>0</v>
      </c>
      <c r="F4">
        <f>E4*Rates!B8</f>
        <v>0</v>
      </c>
      <c r="G4">
        <f>ROUND(E4,0)+ROUND(F4,0)</f>
        <v>0</v>
      </c>
      <c r="H4">
        <v>350000</v>
      </c>
      <c r="I4">
        <f>MAX(0,A4-Rates!B3-H4)</f>
        <v>500000</v>
      </c>
      <c r="J4">
        <f>MAX(0,I4-Rates!B22)*Rates!B36+MAX(0,I4-Rates!B23)*Rates!B37+MAX(0,I4-Rates!B24)*Rates!B38</f>
        <v>12500</v>
      </c>
      <c r="K4">
        <f>IF(AND(1=1,I4&lt;=Rates!B6),MIN(J4,Rates!B7),0)</f>
        <v>12500</v>
      </c>
      <c r="L4">
        <f>MAX(0,J4-K4)</f>
        <v>0</v>
      </c>
      <c r="M4">
        <f>L4*Rates!B8</f>
        <v>0</v>
      </c>
      <c r="N4">
        <f>ROUND(L4,0)+ROUND(M4,0)</f>
        <v>0</v>
      </c>
    </row>
    <row r="5">
      <c r="A5">
        <v>1000000</v>
      </c>
      <c r="B5">
        <f>MAX(0,A5-Rates!B2)</f>
        <v>925000</v>
      </c>
      <c r="C5">
        <f>MAX(0,B5-Rates!B16)*Rates!B35+MAX(0,B5-Rates!B17)*Rates!B35+MAX(0,B5-Rates!B18)*Rates!B35+MAX(0,B5-Rates!B19)*Rates!B35+MAX(0,B5-Rates!B20)*Rates!B35+MAX(0,B5-Rates!B21)*Rates!B35</f>
        <v>32500</v>
      </c>
      <c r="D5">
        <f>IF(OR(1&lt;&gt;1,C5&lt;=0),0,IF(B5&lt;=Rates!B4,MIN(C5,Rates!B5),IF(C5&gt;B5-Rates!B4,C5-(B5-Rates!B4),0)))</f>
        <v>32500</v>
      </c>
      <c r="E5">
        <f>MAX(0,C5-D5)</f>
        <v>0</v>
      </c>
      <c r="F5">
        <f>E5*Rates!B8</f>
        <v>0</v>
      </c>
      <c r="G5">
        <f>ROUND(E5,0)+ROUND(F5,0)</f>
        <v>0</v>
      </c>
      <c r="H5">
        <v>450000</v>
      </c>
      <c r="I5">
        <f>MAX(0,A5-Rates!B3-H5)</f>
        <v>500000</v>
      </c>
      <c r="J5">
        <f>MAX(0,I5-Rates!B22)*Rates!B36+MAX(0,I5-Rates!B23)*Rates!B37+MAX(0,I5-Rates!B24)*Rates!B38</f>
        <v>12500</v>
      </c>
      <c r="K5">
        <f>IF(AND(1=1,I5&lt;=Rates!B6),MIN(J5,Rates!B7),0)</f>
        <v>12500</v>
      </c>
      <c r="L5">
        <f>MAX(0,J5-K5)</f>
        <v>0</v>
      </c>
      <c r="M5">
        <f>L5*Rates!B8</f>
        <v>0</v>
      </c>
      <c r="N5">
        <f>ROUND(L5,0)+ROUND(M5,0)</f>
        <v>0</v>
      </c>
    </row>
    <row r="6">
      <c r="A6">
        <v>1100000</v>
      </c>
      <c r="B6">
        <f>MAX(0,A6-Rates!B2)</f>
        <v>1025000</v>
      </c>
      <c r="C6">
        <f>MAX(0,B6-Rates!B16)*Rates!B35+MAX(0,B6-Rates!B17)*Rates!B35+MAX(0,B6-Rates!B18)*Rates!B35+MAX(0,B6-Rates!B19)*Rates!B35+MAX(0,B6-Rates!B20)*Rates!B35+MAX(0,B6-Rates!B21)*Rates!B35</f>
        <v>42500</v>
      </c>
      <c r="D6">
        <f>IF(OR(1&lt;&gt;1,C6&lt;=0),0,IF(B6&lt;=Rates!B4,MIN(C6,Rates!B5),IF(C6&gt;B6-Rates!B4,C6-(B6-Rates!B4),0)))</f>
        <v>42500</v>
      </c>
      <c r="E6">
        <f>MAX(0,C6-D6)</f>
        <v>0</v>
      </c>
      <c r="F6">
        <f>E6*Rates!B8</f>
        <v>0</v>
      </c>
      <c r="G6">
        <f>ROUND(E6,0)+ROUND(F6,0)</f>
        <v>0</v>
      </c>
      <c r="H6">
        <v>550000</v>
      </c>
      <c r="I6">
        <f>MAX(0,A6-Rates!B3-H6)</f>
        <v>500000</v>
      </c>
      <c r="J6">
        <f>MAX(0,I6-Rates!B22)*Rates!B36+MAX(0,I6-Rates!B23)*Rates!B37+MAX(0,I6-Rates!B24)*Rates!B38</f>
        <v>12500</v>
      </c>
      <c r="K6">
        <f>IF(AND(1=1,I6&lt;=Rates!B6),MIN(J6,Rates!B7),0)</f>
        <v>12500</v>
      </c>
      <c r="L6">
        <f>MAX(0,J6-K6)</f>
        <v>0</v>
      </c>
      <c r="M6">
        <f>L6*Rates!B8</f>
        <v>0</v>
      </c>
      <c r="N6">
        <f>ROUND(L6,0)+ROUND(M6,0)</f>
        <v>0</v>
      </c>
    </row>
    <row r="7">
      <c r="A7">
        <v>1200000</v>
      </c>
      <c r="B7">
        <f>MAX(0,A7-Rates!B2)</f>
        <v>1125000</v>
      </c>
      <c r="C7">
        <f>MAX(0,B7-Rates!B16)*Rates!B35+MAX(0,B7-Rates!B17)*Rates!B35+MAX(0,B7-Rates!B18)*Rates!B35+MAX(0,B7-Rates!B19)*Rates!B35+MAX(0,B7-Rates!B20)*Rates!B35+MAX(0,B7-Rates!B21)*Rates!B35</f>
        <v>52500</v>
      </c>
      <c r="D7">
        <f>IF(OR(1&lt;&gt;1,C7&lt;=0),0,IF(B7&lt;=Rates!B4,MIN(C7,Rates!B5),IF(C7&gt;B7-Rates!B4,C7-(B7-Rates!B4),0)))</f>
        <v>52500</v>
      </c>
      <c r="E7">
        <f>MAX(0,C7-D7)</f>
        <v>0</v>
      </c>
      <c r="F7">
        <f>E7*Rates!B8</f>
        <v>0</v>
      </c>
      <c r="G7">
        <f>ROUND(E7,0)+ROUND(F7,0)</f>
        <v>0</v>
      </c>
      <c r="H7">
        <v>650000</v>
      </c>
      <c r="I7">
        <f>MAX(0,A7-Rates!B3-H7)</f>
        <v>500000</v>
      </c>
      <c r="J7">
        <f>MAX(0,I7-Rates!B22)*Rates!B36+MAX(0,I7-Rates!B23)*Rates!B37+MAX(0,I7-Rates!B24)*Rates!B38</f>
        <v>12500</v>
      </c>
      <c r="K7">
        <f>IF(AND(1=1,I7&lt;=Rates!B6),MIN(J7,Rates!B7),0)</f>
        <v>12500</v>
      </c>
      <c r="L7">
        <f>MAX(0,J7-K7)</f>
        <v>0</v>
      </c>
      <c r="M7">
        <f>L7*Rates!B8</f>
        <v>0</v>
      </c>
      <c r="N7">
        <f>ROUND(L7,0)+ROUND(M7,0)</f>
        <v>0</v>
      </c>
    </row>
    <row r="8">
      <c r="A8">
        <v>1300000</v>
      </c>
      <c r="B8">
        <f>MAX(0,A8-Rates!B2)</f>
        <v>1225000</v>
      </c>
      <c r="C8">
        <f>MAX(0,B8-Rates!B16)*Rates!B35+MAX(0,B8-Rates!B17)*Rates!B35+MAX(0,B8-Rates!B18)*Rates!B35+MAX(0,B8-Rates!B19)*Rates!B35+MAX(0,B8-Rates!B20)*Rates!B35+MAX(0,B8-Rates!B21)*Rates!B35</f>
        <v>63750</v>
      </c>
      <c r="D8">
        <f>IF(OR(1&lt;&gt;1,C8&lt;=0),0,IF(B8&lt;=Rates!B4,MIN(C8,Rates!B5),IF(C8&gt;B8-Rates!B4,C8-(B8-Rates!B4),0)))</f>
        <v>38750</v>
      </c>
      <c r="E8">
        <f>MAX(0,C8-D8)</f>
        <v>25000</v>
      </c>
      <c r="F8">
        <f>E8*Rates!B8</f>
        <v>1000</v>
      </c>
      <c r="G8">
        <f>ROUND(E8,0)+ROUND(F8,0)</f>
        <v>26000</v>
      </c>
      <c r="H8">
        <v>687498</v>
      </c>
      <c r="I8">
        <f>MAX(0,A8-Rates!B3-H8)</f>
        <v>562502</v>
      </c>
      <c r="J8">
        <f>MAX(0,I8-Rates!B22)*Rates!B36+MAX(0,I8-Rates!B23)*Rates!B37+MAX(0,I8-Rates!B24)*Rates!B38</f>
        <v>25000.4</v>
      </c>
      <c r="K8">
        <f>IF(AND(1=1,I8&lt;=Rates!B6),MIN(J8,Rates!B7),0)</f>
        <v>0</v>
      </c>
      <c r="L8">
        <f>MAX(0,J8-K8)</f>
        <v>25000.4</v>
      </c>
      <c r="M8">
        <f>L8*Rates!B8</f>
        <v>1000.0160000000001</v>
      </c>
      <c r="N8">
        <f>ROUND(L8,0)+ROUND(M8,0)</f>
        <v>26000</v>
      </c>
    </row>
    <row r="9">
      <c r="A9">
        <v>1400000</v>
      </c>
      <c r="B9">
        <f>MAX(0,A9-Rates!B2)</f>
        <v>1325000</v>
      </c>
      <c r="C9">
        <f>MAX(0,B9-Rates!B16)*Rates!B35+MAX(0,B9-Rates!B17)*Rates!B35+MAX(0,B9-Rates!B18)*Rates!B35+MAX(0,B9-Rates!B19)*Rates!B35+MAX(0,B9-Rates!B20)*Rates!B35+MAX(0,B9-Rates!B21)*Rates!B35</f>
        <v>78750</v>
      </c>
      <c r="D9">
        <f>IF(OR(1&lt;&gt;1,C9&lt;=0),0,IF(B9&lt;=Rates!B4,MIN(C9,Rates!B5),IF(C9&gt;B9-Rates!B4,C9-(B9-Rates!B4),0)))</f>
        <v>0</v>
      </c>
      <c r="E9">
        <f>MAX(0,C9-D9)</f>
        <v>78750</v>
      </c>
      <c r="F9">
        <f>E9*Rates!B8</f>
        <v>3150</v>
      </c>
      <c r="G9">
        <f>ROUND(E9,0)+ROUND(F9,0)</f>
        <v>81900</v>
      </c>
      <c r="H9">
        <v>518748</v>
      </c>
      <c r="I9">
        <f>MAX(0,A9-Rates!B3-H9)</f>
        <v>831252</v>
      </c>
      <c r="J9">
        <f>MAX(0,I9-Rates!B22)*Rates!B36+MAX(0,I9-Rates!B23)*Rates!B37+MAX(0,I9-Rates!B24)*Rates!B38</f>
        <v>78750.4</v>
      </c>
      <c r="K9">
        <f>IF(AND(1=1,I9&lt;=Rates!B6),MIN(J9,Rates!B7),0)</f>
        <v>0</v>
      </c>
      <c r="L9">
        <f>MAX(0,J9-K9)</f>
        <v>78750.4</v>
      </c>
      <c r="M9">
        <f>L9*Rates!B8</f>
        <v>3150.0159999999996</v>
      </c>
      <c r="N9">
        <f>ROUND(L9,0)+ROUND(M9,0)</f>
        <v>81900</v>
      </c>
    </row>
    <row r="10">
      <c r="A10">
        <v>1500000</v>
      </c>
      <c r="B10">
        <f>MAX(0,A10-Rates!B2)</f>
        <v>1425000</v>
      </c>
      <c r="C10">
        <f>MAX(0,B10-Rates!B16)*Rates!B35+MAX(0,B10-Rates!B17)*Rates!B35+MAX(0,B10-Rates!B18)*Rates!B35+MAX(0,B10-Rates!B19)*Rates!B35+MAX(0,B10-Rates!B20)*Rates!B35+MAX(0,B10-Rates!B21)*Rates!B35</f>
        <v>93750</v>
      </c>
      <c r="D10">
        <f>IF(OR(1&lt;&gt;1,C10&lt;=0),0,IF(B10&lt;=Rates!B4,MIN(C10,Rates!B5),IF(C10&gt;B10-Rates!B4,C10-(B10-Rates!B4),0)))</f>
        <v>0</v>
      </c>
      <c r="E10">
        <f>MAX(0,C10-D10)</f>
        <v>93750</v>
      </c>
      <c r="F10">
        <f>E10*Rates!B8</f>
        <v>3750</v>
      </c>
      <c r="G10">
        <f>ROUND(E10,0)+ROUND(F10,0)</f>
        <v>97500</v>
      </c>
      <c r="H10">
        <v>543748</v>
      </c>
      <c r="I10">
        <f>MAX(0,A10-Rates!B3-H10)</f>
        <v>906252</v>
      </c>
      <c r="J10">
        <f>MAX(0,I10-Rates!B22)*Rates!B36+MAX(0,I10-Rates!B23)*Rates!B37+MAX(0,I10-Rates!B24)*Rates!B38</f>
        <v>93750.4</v>
      </c>
      <c r="K10">
        <f>IF(AND(1=1,I10&lt;=Rates!B6),MIN(J10,Rates!B7),0)</f>
        <v>0</v>
      </c>
      <c r="L10">
        <f>MAX(0,J10-K10)</f>
        <v>93750.4</v>
      </c>
      <c r="M10">
        <f>L10*Rates!B8</f>
        <v>3750.0159999999996</v>
      </c>
      <c r="N10">
        <f>ROUND(L10,0)+ROUND(M10,0)</f>
        <v>97500</v>
      </c>
    </row>
    <row r="11">
      <c r="A11">
        <v>1600000</v>
      </c>
      <c r="B11">
        <f>MAX(0,A11-Rates!B2)</f>
        <v>1525000</v>
      </c>
      <c r="C11">
        <f>MAX(0,B11-Rates!B16)*Rates!B35+MAX(0,B11-Rates!B17)*Rates!B35+MAX(0,B11-Rates!B18)*Rates!B35+MAX(0,B11-Rates!B19)*Rates!B35+MAX(0,B11-Rates!B20)*Rates!B35+MAX(0,B11-Rates!B21)*Rates!B35</f>
        <v>108750</v>
      </c>
      <c r="D11">
        <f>IF(OR(1&lt;&gt;1,C11&lt;=0),0,IF(B11&lt;=Rates!B4,MIN(C11,Rates!B5),IF(C11&gt;B11-Rates!B4,C11-(B11-Rates!B4),0)))</f>
        <v>0</v>
      </c>
      <c r="E11">
        <f>MAX(0,C11-D11)</f>
        <v>108750</v>
      </c>
      <c r="F11">
        <f>E11*Rates!B8</f>
        <v>4350</v>
      </c>
      <c r="G11">
        <f>ROUND(E11,0)+ROUND(F11,0)</f>
        <v>113100</v>
      </c>
      <c r="H11">
        <v>568748</v>
      </c>
      <c r="I11">
        <f>MAX(0,A11-Rates!B3-H11)</f>
        <v>981252</v>
      </c>
      <c r="J11">
        <f>MAX(0,I11-Rates!B22)*Rates!B36+MAX(0,I11-Rates!B23)*Rates!B37+MAX(0,I11-Rates!B24)*Rates!B38</f>
        <v>108750.4</v>
      </c>
      <c r="K11">
        <f>IF(AND(1=1,I11&lt;=Rates!B6),MIN(J11,Rates!B7),0)</f>
        <v>0</v>
      </c>
      <c r="L11">
        <f>MAX(0,J11-K11)</f>
        <v>108750.4</v>
      </c>
      <c r="M11">
        <f>L11*Rates!B8</f>
        <v>4350.016</v>
      </c>
      <c r="N11">
        <f>ROUND(L11,0)+ROUND(M11,0)</f>
        <v>113100</v>
      </c>
    </row>
    <row r="12">
      <c r="A12">
        <v>1700000</v>
      </c>
      <c r="B12">
        <f>MAX(0,A12-Rates!B2)</f>
        <v>1625000</v>
      </c>
      <c r="C12">
        <f>MAX(0,B12-Rates!B16)*Rates!B35+MAX(0,B12-Rates!B17)*Rates!B35+MAX(0,B12-Rates!B18)*Rates!B35+MAX(0,B12-Rates!B19)*Rates!B35+MAX(0,B12-Rates!B20)*Rates!B35+MAX(0,B12-Rates!B21)*Rates!B35</f>
        <v>125000</v>
      </c>
      <c r="D12">
        <f>IF(OR(1&lt;&gt;1,C12&lt;=0),0,IF(B12&lt;=Rates!B4,MIN(C12,Rates!B5),IF(C12&gt;B12-Rates!B4,C12-(B12-Rates!B4),0)))</f>
        <v>0</v>
      </c>
      <c r="E12">
        <f>MAX(0,C12-D12)</f>
        <v>125000</v>
      </c>
      <c r="F12">
        <f>E12*Rates!B8</f>
        <v>5000</v>
      </c>
      <c r="G12">
        <f>ROUND(E12,0)+ROUND(F12,0)</f>
        <v>130000</v>
      </c>
      <c r="H12">
        <v>608332</v>
      </c>
      <c r="I12">
        <f>MAX(0,A12-Rates!B3-H12)</f>
        <v>1041668</v>
      </c>
      <c r="J12">
        <f>MAX(0,I12-Rates!B22)*Rates!B36+MAX(0,I12-Rates!B23)*Rates!B37+MAX(0,I12-Rates!B24)*Rates!B38</f>
        <v>125000.40000000001</v>
      </c>
      <c r="K12">
        <f>IF(AND(1=1,I12&lt;=Rates!B6),MIN(J12,Rates!B7),0)</f>
        <v>0</v>
      </c>
      <c r="L12">
        <f>MAX(0,J12-K12)</f>
        <v>125000.40000000001</v>
      </c>
      <c r="M12">
        <f>L12*Rates!B8</f>
        <v>5000.0160000000005</v>
      </c>
      <c r="N12">
        <f>ROUND(L12,0)+ROUND(M12,0)</f>
        <v>130000</v>
      </c>
    </row>
    <row r="13">
      <c r="A13">
        <v>1800000</v>
      </c>
      <c r="B13">
        <f>MAX(0,A13-Rates!B2)</f>
        <v>1725000</v>
      </c>
      <c r="C13">
        <f>MAX(0,B13-Rates!B16)*Rates!B35+MAX(0,B13-Rates!B17)*Rates!B35+MAX(0,B13-Rates!B18)*Rates!B35+MAX(0,B13-Rates!B19)*Rates!B35+MAX(0,B13-Rates!B20)*Rates!B35+MAX(0,B13-Rates!B21)*Rates!B35</f>
        <v>145000</v>
      </c>
      <c r="D13">
        <f>IF(OR(1&lt;&gt;1,C13&lt;=0),0,IF(B13&lt;=Rates!B4,MIN(C13,Rates!B5),IF(C13&gt;B13-Rates!B4,C13-(B13-Rates!B4),0)))</f>
        <v>0</v>
      </c>
      <c r="E13">
        <f>MAX(0,C13-D13)</f>
        <v>145000</v>
      </c>
      <c r="F13">
        <f>E13*Rates!B8</f>
        <v>5800</v>
      </c>
      <c r="G13">
        <f>ROUND(E13,0)+ROUND(F13,0)</f>
        <v>150800</v>
      </c>
      <c r="H13">
        <v>641666</v>
      </c>
      <c r="I13">
        <f>MAX(0,A13-Rates!B3-H13)</f>
        <v>1108334</v>
      </c>
      <c r="J13">
        <f>MAX(0,I13-Rates!B22)*Rates!B36+MAX(0,I13-Rates!B23)*Rates!B37+MAX(0,I13-Rates!B24)*Rates!B38</f>
        <v>145000.19999999998</v>
      </c>
      <c r="K13">
        <f>IF(AND(1=1,I13&lt;=Rates!B6),MIN(J13,Rates!B7),0)</f>
        <v>0</v>
      </c>
      <c r="L13">
        <f>MAX(0,J13-K13)</f>
        <v>145000.19999999998</v>
      </c>
      <c r="M13">
        <f>L13*Rates!B8</f>
        <v>5800.008</v>
      </c>
      <c r="N13">
        <f>ROUND(L13,0)+ROUND(M13,0)</f>
        <v>150800</v>
      </c>
    </row>
    <row r="14">
      <c r="A14">
        <v>1900000</v>
      </c>
      <c r="B14">
        <f>MAX(0,A14-Rates!B2)</f>
        <v>1825000</v>
      </c>
      <c r="C14">
        <f>MAX(0,B14-Rates!B16)*Rates!B35+MAX(0,B14-Rates!B17)*Rates!B35+MAX(0,B14-Rates!B18)*Rates!B35+MAX(0,B14-Rates!B19)*Rates!B35+MAX(0,B14-Rates!B20)*Rates!B35+MAX(0,B14-Rates!B21)*Rates!B35</f>
        <v>165000</v>
      </c>
      <c r="D14">
        <f>IF(OR(1&lt;&gt;1,C14&lt;=0),0,IF(B14&lt;=Rates!B4,MIN(C14,Rates!B5),IF(C14&gt;B14-Rates!B4,C14-(B14-Rates!B4),0)))</f>
        <v>0</v>
      </c>
      <c r="E14">
        <f>MAX(0,C14-D14)</f>
        <v>165000</v>
      </c>
      <c r="F14">
        <f>E14*Rates!B8</f>
        <v>6600</v>
      </c>
      <c r="G14">
        <f>ROUND(E14,0)+ROUND(F14,0)</f>
        <v>171600</v>
      </c>
      <c r="H14">
        <v>674999</v>
      </c>
      <c r="I14">
        <f>MAX(0,A14-Rates!B3-H14)</f>
        <v>1175001</v>
      </c>
      <c r="J14">
        <f>MAX(0,I14-Rates!B22)*Rates!B36+MAX(0,I14-Rates!B23)*Rates!B37+MAX(0,I14-Rates!B24)*Rates!B38</f>
        <v>165000.30000000002</v>
      </c>
      <c r="K14">
        <f>IF(AND(1=1,I14&lt;=Rates!B6),MIN(J14,Rates!B7),0)</f>
        <v>0</v>
      </c>
      <c r="L14">
        <f>MAX(0,J14-K14)</f>
        <v>165000.30000000002</v>
      </c>
      <c r="M14">
        <f>L14*Rates!B8</f>
        <v>6600.012000000001</v>
      </c>
      <c r="N14">
        <f>ROUND(L14,0)+ROUND(M14,0)</f>
        <v>171600</v>
      </c>
    </row>
    <row r="15">
      <c r="A15">
        <v>2000000</v>
      </c>
      <c r="B15">
        <f>MAX(0,A15-Rates!B2)</f>
        <v>1925000</v>
      </c>
      <c r="C15">
        <f>MAX(0,B15-Rates!B16)*Rates!B35+MAX(0,B15-Rates!B17)*Rates!B35+MAX(0,B15-Rates!B18)*Rates!B35+MAX(0,B15-Rates!B19)*Rates!B35+MAX(0,B15-Rates!B20)*Rates!B35+MAX(0,B15-Rates!B21)*Rates!B35</f>
        <v>185000</v>
      </c>
      <c r="D15">
        <f>IF(OR(1&lt;&gt;1,C15&lt;=0),0,IF(B15&lt;=Rates!B4,MIN(C15,Rates!B5),IF(C15&gt;B15-Rates!B4,C15-(B15-Rates!B4),0)))</f>
        <v>0</v>
      </c>
      <c r="E15">
        <f>MAX(0,C15-D15)</f>
        <v>185000</v>
      </c>
      <c r="F15">
        <f>E15*Rates!B8</f>
        <v>7400</v>
      </c>
      <c r="G15">
        <f>ROUND(E15,0)+ROUND(F15,0)</f>
        <v>192400</v>
      </c>
      <c r="H15">
        <v>708332</v>
      </c>
      <c r="I15">
        <f>MAX(0,A15-Rates!B3-H15)</f>
        <v>1241668</v>
      </c>
      <c r="J15">
        <f>MAX(0,I15-Rates!B22)*Rates!B36+MAX(0,I15-Rates!B23)*Rates!B37+MAX(0,I15-Rates!B24)*Rates!B38</f>
        <v>185000.40000000002</v>
      </c>
      <c r="K15">
        <f>IF(AND(1=1,I15&lt;=Rates!B6),MIN(J15,Rates!B7),0)</f>
        <v>0</v>
      </c>
      <c r="L15">
        <f>MAX(0,J15-K15)</f>
        <v>185000.40000000002</v>
      </c>
      <c r="M15">
        <f>L15*Rates!B8</f>
        <v>7400.016000000001</v>
      </c>
      <c r="N15">
        <f>ROUND(L15,0)+ROUND(M15,0)</f>
        <v>192400</v>
      </c>
    </row>
    <row r="16">
      <c r="A16">
        <v>2100000</v>
      </c>
      <c r="B16">
        <f>MAX(0,A16-Rates!B2)</f>
        <v>2025000</v>
      </c>
      <c r="C16">
        <f>MAX(0,B16-Rates!B16)*Rates!B35+MAX(0,B16-Rates!B17)*Rates!B35+MAX(0,B16-Rates!B18)*Rates!B35+MAX(0,B16-Rates!B19)*Rates!B35+MAX(0,B16-Rates!B20)*Rates!B35+MAX(0,B16-Rates!B21)*Rates!B35</f>
        <v>206250</v>
      </c>
      <c r="D16">
        <f>IF(OR(1&lt;&gt;1,C16&lt;=0),0,IF(B16&lt;=Rates!B4,MIN(C16,Rates!B5),IF(C16&gt;B16-Rates!B4,C16-(B16-Rates!B4),0)))</f>
        <v>0</v>
      </c>
      <c r="E16">
        <f>MAX(0,C16-D16)</f>
        <v>206250</v>
      </c>
      <c r="F16">
        <f>E16*Rates!B8</f>
        <v>8250</v>
      </c>
      <c r="G16">
        <f>ROUND(E16,0)+ROUND(F16,0)</f>
        <v>214500</v>
      </c>
      <c r="H16">
        <v>737499</v>
      </c>
      <c r="I16">
        <f>MAX(0,A16-Rates!B3-H16)</f>
        <v>1312501</v>
      </c>
      <c r="J16">
        <f>MAX(0,I16-Rates!B22)*Rates!B36+MAX(0,I16-Rates!B23)*Rates!B37+MAX(0,I16-Rates!B24)*Rates!B38</f>
        <v>206250.30000000002</v>
      </c>
      <c r="K16">
        <f>IF(AND(1=1,I16&lt;=Rates!B6),MIN(J16,Rates!B7),0)</f>
        <v>0</v>
      </c>
      <c r="L16">
        <f>MAX(0,J16-K16)</f>
        <v>206250.30000000002</v>
      </c>
      <c r="M16">
        <f>L16*Rates!B8</f>
        <v>8250.012</v>
      </c>
      <c r="N16">
        <f>ROUND(L16,0)+ROUND(M16,0)</f>
        <v>214500</v>
      </c>
    </row>
    <row r="17">
      <c r="A17">
        <v>2200000</v>
      </c>
      <c r="B17">
        <f>MAX(0,A17-Rates!B2)</f>
        <v>2125000</v>
      </c>
      <c r="C17">
        <f>MAX(0,B17-Rates!B16)*Rates!B35+MAX(0,B17-Rates!B17)*Rates!B35+MAX(0,B17-Rates!B18)*Rates!B35+MAX(0,B17-Rates!B19)*Rates!B35+MAX(0,B17-Rates!B20)*Rates!B35+MAX(0,B17-Rates!B21)*Rates!B35</f>
        <v>231250</v>
      </c>
      <c r="D17">
        <f>IF(OR(1&lt;&gt;1,C17&lt;=0),0,IF(B17&lt;=Rates!B4,MIN(C17,Rates!B5),IF(C17&gt;B17-Rates!B4,C17-(B17-Rates!B4),0)))</f>
        <v>0</v>
      </c>
      <c r="E17">
        <f>MAX(0,C17-D17)</f>
        <v>231250</v>
      </c>
      <c r="F17">
        <f>E17*Rates!B8</f>
        <v>9250</v>
      </c>
      <c r="G17">
        <f>ROUND(E17,0)+ROUND(F17,0)</f>
        <v>240500</v>
      </c>
      <c r="H17">
        <v>754166</v>
      </c>
      <c r="I17">
        <f>MAX(0,A17-Rates!B3-H17)</f>
        <v>1395834</v>
      </c>
      <c r="J17">
        <f>MAX(0,I17-Rates!B22)*Rates!B36+MAX(0,I17-Rates!B23)*Rates!B37+MAX(0,I17-Rates!B24)*Rates!B38</f>
        <v>231250.2</v>
      </c>
      <c r="K17">
        <f>IF(AND(1=1,I17&lt;=Rates!B6),MIN(J17,Rates!B7),0)</f>
        <v>0</v>
      </c>
      <c r="L17">
        <f>MAX(0,J17-K17)</f>
        <v>231250.2</v>
      </c>
      <c r="M17">
        <f>L17*Rates!B8</f>
        <v>9250.008</v>
      </c>
      <c r="N17">
        <f>ROUND(L17,0)+ROUND(M17,0)</f>
        <v>240500</v>
      </c>
    </row>
    <row r="18">
      <c r="A18">
        <v>2300000</v>
      </c>
      <c r="B18">
        <f>MAX(0,A18-Rates!B2)</f>
        <v>2225000</v>
      </c>
      <c r="C18">
        <f>MAX(0,B18-Rates!B16)*Rates!B35+MAX(0,B18-Rates!B17)*Rates!B35+MAX(0,B18-Rates!B18)*Rates!B35+MAX(0,B18-Rates!B19)*Rates!B35+MAX(0,B18-Rates!B20)*Rates!B35+MAX(0,B18-Rates!B21)*Rates!B35</f>
        <v>256250</v>
      </c>
      <c r="D18">
        <f>IF(OR(1&lt;&gt;1,C18&lt;=0),0,IF(B18&lt;=Rates!B4,MIN(C18,Rates!B5),IF(C18&gt;B18-Rates!B4,C18-(B18-Rates!B4),0)))</f>
        <v>0</v>
      </c>
      <c r="E18">
        <f>MAX(0,C18-D18)</f>
        <v>256250</v>
      </c>
      <c r="F18">
        <f>E18*Rates!B8</f>
        <v>10250</v>
      </c>
      <c r="G18">
        <f>ROUND(E18,0)+ROUND(F18,0)</f>
        <v>266500</v>
      </c>
      <c r="H18">
        <v>770832</v>
      </c>
      <c r="I18">
        <f>MAX(0,A18-Rates!B3-H18)</f>
        <v>1479168</v>
      </c>
      <c r="J18">
        <f>MAX(0,I18-Rates!B22)*Rates!B36+MAX(0,I18-Rates!B23)*Rates!B37+MAX(0,I18-Rates!B24)*Rates!B38</f>
        <v>256250.39999999997</v>
      </c>
      <c r="K18">
        <f>IF(AND(1=1,I18&lt;=Rates!B6),MIN(J18,Rates!B7),0)</f>
        <v>0</v>
      </c>
      <c r="L18">
        <f>MAX(0,J18-K18)</f>
        <v>256250.39999999997</v>
      </c>
      <c r="M18">
        <f>L18*Rates!B8</f>
        <v>10250.016</v>
      </c>
      <c r="N18">
        <f>ROUND(L18,0)+ROUND(M18,0)</f>
        <v>266500</v>
      </c>
    </row>
    <row r="19">
      <c r="A19">
        <v>2400000</v>
      </c>
      <c r="B19">
        <f>MAX(0,A19-Rates!B2)</f>
        <v>2325000</v>
      </c>
      <c r="C19">
        <f>MAX(0,B19-Rates!B16)*Rates!B35+MAX(0,B19-Rates!B17)*Rates!B35+MAX(0,B19-Rates!B18)*Rates!B35+MAX(0,B19-Rates!B19)*Rates!B35+MAX(0,B19-Rates!B20)*Rates!B35+MAX(0,B19-Rates!B21)*Rates!B35</f>
        <v>281250</v>
      </c>
      <c r="D19">
        <f>IF(OR(1&lt;&gt;1,C19&lt;=0),0,IF(B19&lt;=Rates!B4,MIN(C19,Rates!B5),IF(C19&gt;B19-Rates!B4,C19-(B19-Rates!B4),0)))</f>
        <v>0</v>
      </c>
      <c r="E19">
        <f>MAX(0,C19-D19)</f>
        <v>281250</v>
      </c>
      <c r="F19">
        <f>E19*Rates!B8</f>
        <v>11250</v>
      </c>
      <c r="G19">
        <f>ROUND(E19,0)+ROUND(F19,0)</f>
        <v>292500</v>
      </c>
      <c r="H19">
        <v>787499</v>
      </c>
      <c r="I19">
        <f>MAX(0,A19-Rates!B3-H19)</f>
        <v>1562501</v>
      </c>
      <c r="J19">
        <f>MAX(0,I19-Rates!B22)*Rates!B36+MAX(0,I19-Rates!B23)*Rates!B37+MAX(0,I19-Rates!B24)*Rates!B38</f>
        <v>281250.30000000005</v>
      </c>
      <c r="K19">
        <f>IF(AND(1=1,I19&lt;=Rates!B6),MIN(J19,Rates!B7),0)</f>
        <v>0</v>
      </c>
      <c r="L19">
        <f>MAX(0,J19-K19)</f>
        <v>281250.30000000005</v>
      </c>
      <c r="M19">
        <f>L19*Rates!B8</f>
        <v>11250.012000000002</v>
      </c>
      <c r="N19">
        <f>ROUND(L19,0)+ROUND(M19,0)</f>
        <v>292500</v>
      </c>
    </row>
    <row r="20">
      <c r="A20">
        <v>2500000</v>
      </c>
      <c r="B20">
        <f>MAX(0,A20-Rates!B2)</f>
        <v>2425000</v>
      </c>
      <c r="C20">
        <f>MAX(0,B20-Rates!B16)*Rates!B35+MAX(0,B20-Rates!B17)*Rates!B35+MAX(0,B20-Rates!B18)*Rates!B35+MAX(0,B20-Rates!B19)*Rates!B35+MAX(0,B20-Rates!B20)*Rates!B35+MAX(0,B20-Rates!B21)*Rates!B35</f>
        <v>307500</v>
      </c>
      <c r="D20">
        <f>IF(OR(1&lt;&gt;1,C20&lt;=0),0,IF(B20&lt;=Rates!B4,MIN(C20,Rates!B5),IF(C20&gt;B20-Rates!B4,C20-(B20-Rates!B4),0)))</f>
        <v>0</v>
      </c>
      <c r="E20">
        <f>MAX(0,C20-D20)</f>
        <v>307500</v>
      </c>
      <c r="F20">
        <f>E20*Rates!B8</f>
        <v>12300</v>
      </c>
      <c r="G20">
        <f>ROUND(E20,0)+ROUND(F20,0)</f>
        <v>319800</v>
      </c>
      <c r="H20">
        <v>799999</v>
      </c>
      <c r="I20">
        <f>MAX(0,A20-Rates!B3-H20)</f>
        <v>1650001</v>
      </c>
      <c r="J20">
        <f>MAX(0,I20-Rates!B22)*Rates!B36+MAX(0,I20-Rates!B23)*Rates!B37+MAX(0,I20-Rates!B24)*Rates!B38</f>
        <v>307500.30000000005</v>
      </c>
      <c r="K20">
        <f>IF(AND(1=1,I20&lt;=Rates!B6),MIN(J20,Rates!B7),0)</f>
        <v>0</v>
      </c>
      <c r="L20">
        <f>MAX(0,J20-K20)</f>
        <v>307500.30000000005</v>
      </c>
      <c r="M20">
        <f>L20*Rates!B8</f>
        <v>12300.012000000002</v>
      </c>
      <c r="N20">
        <f>ROUND(L20,0)+ROUND(M20,0)</f>
        <v>319800</v>
      </c>
    </row>
    <row r="21">
      <c r="A21">
        <v>2600000</v>
      </c>
      <c r="B21">
        <f>MAX(0,A21-Rates!B2)</f>
        <v>2525000</v>
      </c>
      <c r="C21">
        <f>MAX(0,B21-Rates!B16)*Rates!B35+MAX(0,B21-Rates!B17)*Rates!B35+MAX(0,B21-Rates!B18)*Rates!B35+MAX(0,B21-Rates!B19)*Rates!B35+MAX(0,B21-Rates!B20)*Rates!B35+MAX(0,B21-Rates!B21)*Rates!B35</f>
        <v>337500</v>
      </c>
      <c r="D21">
        <f>IF(OR(1&lt;&gt;1,C21&lt;=0),0,IF(B21&lt;=Rates!B4,MIN(C21,Rates!B5),IF(C21&gt;B21-Rates!B4,C21-(B21-Rates!B4),0)))</f>
        <v>0</v>
      </c>
      <c r="E21">
        <f>MAX(0,C21-D21)</f>
        <v>337500</v>
      </c>
      <c r="F21">
        <f>E21*Rates!B8</f>
        <v>13500</v>
      </c>
      <c r="G21">
        <f>ROUND(E21,0)+ROUND(F21,0)</f>
        <v>351000</v>
      </c>
      <c r="H21">
        <v>799999</v>
      </c>
      <c r="I21">
        <f>MAX(0,A21-Rates!B3-H21)</f>
        <v>1750001</v>
      </c>
      <c r="J21">
        <f>MAX(0,I21-Rates!B22)*Rates!B36+MAX(0,I21-Rates!B23)*Rates!B37+MAX(0,I21-Rates!B24)*Rates!B38</f>
        <v>337500.30000000005</v>
      </c>
      <c r="K21">
        <f>IF(AND(1=1,I21&lt;=Rates!B6),MIN(J21,Rates!B7),0)</f>
        <v>0</v>
      </c>
      <c r="L21">
        <f>MAX(0,J21-K21)</f>
        <v>337500.30000000005</v>
      </c>
      <c r="M21">
        <f>L21*Rates!B8</f>
        <v>13500.012000000002</v>
      </c>
      <c r="N21">
        <f>ROUND(L21,0)+ROUND(M21,0)</f>
        <v>351000</v>
      </c>
    </row>
    <row r="22">
      <c r="A22">
        <v>2700000</v>
      </c>
      <c r="B22">
        <f>MAX(0,A22-Rates!B2)</f>
        <v>2625000</v>
      </c>
      <c r="C22">
        <f>MAX(0,B22-Rates!B16)*Rates!B35+MAX(0,B22-Rates!B17)*Rates!B35+MAX(0,B22-Rates!B18)*Rates!B35+MAX(0,B22-Rates!B19)*Rates!B35+MAX(0,B22-Rates!B20)*Rates!B35+MAX(0,B22-Rates!B21)*Rates!B35</f>
        <v>367500</v>
      </c>
      <c r="D22">
        <f>IF(OR(1&lt;&gt;1,C22&lt;=0),0,IF(B22&lt;=Rates!B4,MIN(C22,Rates!B5),IF(C22&gt;B22-Rates!B4,C22-(B22-Rates!B4),0)))</f>
        <v>0</v>
      </c>
      <c r="E22">
        <f>MAX(0,C22-D22)</f>
        <v>367500</v>
      </c>
      <c r="F22">
        <f>E22*Rates!B8</f>
        <v>14700</v>
      </c>
      <c r="G22">
        <f>ROUND(E22,0)+ROUND(F22,0)</f>
        <v>382200</v>
      </c>
      <c r="H22">
        <v>799999</v>
      </c>
      <c r="I22">
        <f>MAX(0,A22-Rates!B3-H22)</f>
        <v>1850001</v>
      </c>
      <c r="J22">
        <f>MAX(0,I22-Rates!B22)*Rates!B36+MAX(0,I22-Rates!B23)*Rates!B37+MAX(0,I22-Rates!B24)*Rates!B38</f>
        <v>367500.30000000005</v>
      </c>
      <c r="K22">
        <f>IF(AND(1=1,I22&lt;=Rates!B6),MIN(J22,Rates!B7),0)</f>
        <v>0</v>
      </c>
      <c r="L22">
        <f>MAX(0,J22-K22)</f>
        <v>367500.30000000005</v>
      </c>
      <c r="M22">
        <f>L22*Rates!B8</f>
        <v>14700.012000000002</v>
      </c>
      <c r="N22">
        <f>ROUND(L22,0)+ROUND(M22,0)</f>
        <v>382200</v>
      </c>
    </row>
    <row r="23">
      <c r="A23">
        <v>2800000</v>
      </c>
      <c r="B23">
        <f>MAX(0,A23-Rates!B2)</f>
        <v>2725000</v>
      </c>
      <c r="C23">
        <f>MAX(0,B23-Rates!B16)*Rates!B35+MAX(0,B23-Rates!B17)*Rates!B35+MAX(0,B23-Rates!B18)*Rates!B35+MAX(0,B23-Rates!B19)*Rates!B35+MAX(0,B23-Rates!B20)*Rates!B35+MAX(0,B23-Rates!B21)*Rates!B35</f>
        <v>397500</v>
      </c>
      <c r="D23">
        <f>IF(OR(1&lt;&gt;1,C23&lt;=0),0,IF(B23&lt;=Rates!B4,MIN(C23,Rates!B5),IF(C23&gt;B23-Rates!B4,C23-(B23-Rates!B4),0)))</f>
        <v>0</v>
      </c>
      <c r="E23">
        <f>MAX(0,C23-D23)</f>
        <v>397500</v>
      </c>
      <c r="F23">
        <f>E23*Rates!B8</f>
        <v>15900</v>
      </c>
      <c r="G23">
        <f>ROUND(E23,0)+ROUND(F23,0)</f>
        <v>413400</v>
      </c>
      <c r="H23">
        <v>799999</v>
      </c>
      <c r="I23">
        <f>MAX(0,A23-Rates!B3-H23)</f>
        <v>1950001</v>
      </c>
      <c r="J23">
        <f>MAX(0,I23-Rates!B22)*Rates!B36+MAX(0,I23-Rates!B23)*Rates!B37+MAX(0,I23-Rates!B24)*Rates!B38</f>
        <v>397500.30000000005</v>
      </c>
      <c r="K23">
        <f>IF(AND(1=1,I23&lt;=Rates!B6),MIN(J23,Rates!B7),0)</f>
        <v>0</v>
      </c>
      <c r="L23">
        <f>MAX(0,J23-K23)</f>
        <v>397500.30000000005</v>
      </c>
      <c r="M23">
        <f>L23*Rates!B8</f>
        <v>15900.012000000002</v>
      </c>
      <c r="N23">
        <f>ROUND(L23,0)+ROUND(M23,0)</f>
        <v>413400</v>
      </c>
    </row>
    <row r="24">
      <c r="A24">
        <v>2900000</v>
      </c>
      <c r="B24">
        <f>MAX(0,A24-Rates!B2)</f>
        <v>2825000</v>
      </c>
      <c r="C24">
        <f>MAX(0,B24-Rates!B16)*Rates!B35+MAX(0,B24-Rates!B17)*Rates!B35+MAX(0,B24-Rates!B18)*Rates!B35+MAX(0,B24-Rates!B19)*Rates!B35+MAX(0,B24-Rates!B20)*Rates!B35+MAX(0,B24-Rates!B21)*Rates!B35</f>
        <v>427500</v>
      </c>
      <c r="D24">
        <f>IF(OR(1&lt;&gt;1,C24&lt;=0),0,IF(B24&lt;=Rates!B4,MIN(C24,Rates!B5),IF(C24&gt;B24-Rates!B4,C24-(B24-Rates!B4),0)))</f>
        <v>0</v>
      </c>
      <c r="E24">
        <f>MAX(0,C24-D24)</f>
        <v>427500</v>
      </c>
      <c r="F24">
        <f>E24*Rates!B8</f>
        <v>17100</v>
      </c>
      <c r="G24">
        <f>ROUND(E24,0)+ROUND(F24,0)</f>
        <v>444600</v>
      </c>
      <c r="H24">
        <v>799999</v>
      </c>
      <c r="I24">
        <f>MAX(0,A24-Rates!B3-H24)</f>
        <v>2050001</v>
      </c>
      <c r="J24">
        <f>MAX(0,I24-Rates!B22)*Rates!B36+MAX(0,I24-Rates!B23)*Rates!B37+MAX(0,I24-Rates!B24)*Rates!B38</f>
        <v>427500.30000000005</v>
      </c>
      <c r="K24">
        <f>IF(AND(1=1,I24&lt;=Rates!B6),MIN(J24,Rates!B7),0)</f>
        <v>0</v>
      </c>
      <c r="L24">
        <f>MAX(0,J24-K24)</f>
        <v>427500.30000000005</v>
      </c>
      <c r="M24">
        <f>L24*Rates!B8</f>
        <v>17100.012000000002</v>
      </c>
      <c r="N24">
        <f>ROUND(L24,0)+ROUND(M24,0)</f>
        <v>444600</v>
      </c>
    </row>
    <row r="25">
      <c r="A25">
        <v>3000000</v>
      </c>
      <c r="B25">
        <f>MAX(0,A25-Rates!B2)</f>
        <v>2925000</v>
      </c>
      <c r="C25">
        <f>MAX(0,B25-Rates!B16)*Rates!B35+MAX(0,B25-Rates!B17)*Rates!B35+MAX(0,B25-Rates!B18)*Rates!B35+MAX(0,B25-Rates!B19)*Rates!B35+MAX(0,B25-Rates!B20)*Rates!B35+MAX(0,B25-Rates!B21)*Rates!B35</f>
        <v>457500</v>
      </c>
      <c r="D25">
        <f>IF(OR(1&lt;&gt;1,C25&lt;=0),0,IF(B25&lt;=Rates!B4,MIN(C25,Rates!B5),IF(C25&gt;B25-Rates!B4,C25-(B25-Rates!B4),0)))</f>
        <v>0</v>
      </c>
      <c r="E25">
        <f>MAX(0,C25-D25)</f>
        <v>457500</v>
      </c>
      <c r="F25">
        <f>E25*Rates!B8</f>
        <v>18300</v>
      </c>
      <c r="G25">
        <f>ROUND(E25,0)+ROUND(F25,0)</f>
        <v>475800</v>
      </c>
      <c r="H25">
        <v>799999</v>
      </c>
      <c r="I25">
        <f>MAX(0,A25-Rates!B3-H25)</f>
        <v>2150001</v>
      </c>
      <c r="J25">
        <f>MAX(0,I25-Rates!B22)*Rates!B36+MAX(0,I25-Rates!B23)*Rates!B37+MAX(0,I25-Rates!B24)*Rates!B38</f>
        <v>457500.30000000005</v>
      </c>
      <c r="K25">
        <f>IF(AND(1=1,I25&lt;=Rates!B6),MIN(J25,Rates!B7),0)</f>
        <v>0</v>
      </c>
      <c r="L25">
        <f>MAX(0,J25-K25)</f>
        <v>457500.30000000005</v>
      </c>
      <c r="M25">
        <f>L25*Rates!B8</f>
        <v>18300.012000000002</v>
      </c>
      <c r="N25">
        <f>ROUND(L25,0)+ROUND(M25,0)</f>
        <v>475800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Figure</t>
        </is>
      </c>
      <c r="B1" t="inlineStr">
        <is>
          <t>Value</t>
        </is>
      </c>
    </row>
    <row r="2">
      <c r="A2" t="inlineStr">
        <is>
          <t>New regime standard deduction</t>
        </is>
      </c>
      <c r="B2">
        <v>75000</v>
      </c>
    </row>
    <row r="3">
      <c r="A3" t="inlineStr">
        <is>
          <t>Old regime standard deduction</t>
        </is>
      </c>
      <c r="B3">
        <v>50000</v>
      </c>
    </row>
    <row r="4">
      <c r="A4" t="inlineStr">
        <is>
          <t>New regime rebate income limit</t>
        </is>
      </c>
      <c r="B4">
        <v>1200000</v>
      </c>
    </row>
    <row r="5">
      <c r="A5" t="inlineStr">
        <is>
          <t>New regime rebate cap</t>
        </is>
      </c>
      <c r="B5">
        <v>60000</v>
      </c>
    </row>
    <row r="6">
      <c r="A6" t="inlineStr">
        <is>
          <t>Old regime rebate income limit</t>
        </is>
      </c>
      <c r="B6">
        <v>500000</v>
      </c>
    </row>
    <row r="7">
      <c r="A7" t="inlineStr">
        <is>
          <t>Old regime rebate cap</t>
        </is>
      </c>
      <c r="B7">
        <v>12500</v>
      </c>
    </row>
    <row r="8">
      <c r="A8" t="inlineStr">
        <is>
          <t>Cess rate</t>
        </is>
      </c>
      <c r="B8">
        <v>0.04</v>
      </c>
    </row>
    <row r="9">
      <c r="A9" t="inlineStr">
        <is>
          <t>Section 123 cap</t>
        </is>
      </c>
      <c r="B9">
        <v>150000</v>
      </c>
    </row>
    <row r="10">
      <c r="A10" t="inlineStr">
        <is>
          <t>Section 126 combined ceiling</t>
        </is>
      </c>
      <c r="B10">
        <v>100000</v>
      </c>
    </row>
    <row r="11">
      <c r="A11" t="inlineStr">
        <is>
          <t>Section 124(3) cap</t>
        </is>
      </c>
      <c r="B11">
        <v>50000</v>
      </c>
    </row>
    <row r="12">
      <c r="A12" t="inlineStr">
        <is>
          <t>Section 22(1)(b) cap</t>
        </is>
      </c>
      <c r="B12">
        <v>200000</v>
      </c>
    </row>
    <row r="13">
      <c r="A13" t="inlineStr">
        <is>
          <t>Professional tax cap</t>
        </is>
      </c>
      <c r="B13">
        <v>2500</v>
      </c>
    </row>
    <row r="14">
      <c r="A14" t="inlineStr">
        <is>
          <t>Employer NPS rate, new regime or government</t>
        </is>
      </c>
      <c r="B14">
        <v>0.14</v>
      </c>
    </row>
    <row r="15">
      <c r="A15" t="inlineStr">
        <is>
          <t>Employer NPS rate, private old regime</t>
        </is>
      </c>
      <c r="B15">
        <v>0.1</v>
      </c>
    </row>
    <row r="16">
      <c r="A16" t="inlineStr">
        <is>
          <t>New regime nil band</t>
        </is>
      </c>
      <c r="B16">
        <v>400000</v>
      </c>
    </row>
    <row r="17">
      <c r="A17" t="inlineStr">
        <is>
          <t>New regime 8 lakh edge</t>
        </is>
      </c>
      <c r="B17">
        <v>800000</v>
      </c>
    </row>
    <row r="18">
      <c r="A18" t="inlineStr">
        <is>
          <t>New regime 12 lakh edge</t>
        </is>
      </c>
      <c r="B18">
        <v>1200000</v>
      </c>
    </row>
    <row r="19">
      <c r="A19" t="inlineStr">
        <is>
          <t>New regime 16 lakh edge</t>
        </is>
      </c>
      <c r="B19">
        <v>1600000</v>
      </c>
    </row>
    <row r="20">
      <c r="A20" t="inlineStr">
        <is>
          <t>New regime 20 lakh edge</t>
        </is>
      </c>
      <c r="B20">
        <v>2000000</v>
      </c>
    </row>
    <row r="21">
      <c r="A21" t="inlineStr">
        <is>
          <t>New regime 24 lakh edge</t>
        </is>
      </c>
      <c r="B21">
        <v>2400000</v>
      </c>
    </row>
    <row r="22">
      <c r="A22" t="inlineStr">
        <is>
          <t>Old regime nil band under 60</t>
        </is>
      </c>
      <c r="B22">
        <v>250000</v>
      </c>
    </row>
    <row r="23">
      <c r="A23" t="inlineStr">
        <is>
          <t>Old regime 5 lakh edge</t>
        </is>
      </c>
      <c r="B23">
        <v>500000</v>
      </c>
    </row>
    <row r="24">
      <c r="A24" t="inlineStr">
        <is>
          <t>Old regime 10 lakh edge</t>
        </is>
      </c>
      <c r="B24">
        <v>1000000</v>
      </c>
    </row>
    <row r="25">
      <c r="A25" t="inlineStr">
        <is>
          <t>Old regime nil band, 60 to 79</t>
        </is>
      </c>
      <c r="B25">
        <v>300000</v>
      </c>
    </row>
    <row r="26">
      <c r="A26" t="inlineStr">
        <is>
          <t>Old regime nil band, 80 or older</t>
        </is>
      </c>
      <c r="B26">
        <v>500000</v>
      </c>
    </row>
    <row r="27">
      <c r="A27" t="inlineStr">
        <is>
          <t>Surcharge above 50 lakh</t>
        </is>
      </c>
      <c r="B27">
        <v>5000000</v>
      </c>
    </row>
    <row r="28">
      <c r="A28" t="inlineStr">
        <is>
          <t>Surcharge above 1 crore</t>
        </is>
      </c>
      <c r="B28">
        <v>10000000</v>
      </c>
    </row>
    <row r="29">
      <c r="A29" t="inlineStr">
        <is>
          <t>Surcharge above 2 crore</t>
        </is>
      </c>
      <c r="B29">
        <v>20000000</v>
      </c>
    </row>
    <row r="30">
      <c r="A30" t="inlineStr">
        <is>
          <t>Old regime surcharge above 5 crore</t>
        </is>
      </c>
      <c r="B30">
        <v>50000000</v>
      </c>
    </row>
    <row r="31">
      <c r="A31" t="inlineStr">
        <is>
          <t>10 percent</t>
        </is>
      </c>
      <c r="B31">
        <v>0.1</v>
      </c>
    </row>
    <row r="32">
      <c r="A32" t="inlineStr">
        <is>
          <t>15 percent</t>
        </is>
      </c>
      <c r="B32">
        <v>0.15</v>
      </c>
    </row>
    <row r="33">
      <c r="A33" t="inlineStr">
        <is>
          <t>25 percent</t>
        </is>
      </c>
      <c r="B33">
        <v>0.25</v>
      </c>
    </row>
    <row r="34">
      <c r="A34" t="inlineStr">
        <is>
          <t>37 percent</t>
        </is>
      </c>
      <c r="B34">
        <v>0.37</v>
      </c>
    </row>
    <row r="35">
      <c r="A35" t="inlineStr">
        <is>
          <t>New regime step between bands</t>
        </is>
      </c>
      <c r="B35">
        <v>0.05</v>
      </c>
    </row>
    <row r="36">
      <c r="A36" t="inlineStr">
        <is>
          <t>Old regime first step</t>
        </is>
      </c>
      <c r="B36">
        <v>0.05</v>
      </c>
    </row>
    <row r="37">
      <c r="A37" t="inlineStr">
        <is>
          <t>Old regime step above 5 lakh</t>
        </is>
      </c>
      <c r="B37">
        <v>0.15</v>
      </c>
    </row>
    <row r="38">
      <c r="A38" t="inlineStr">
        <is>
          <t>Old regime step above 10 lakh</t>
        </is>
      </c>
      <c r="B38">
        <v>0.1</v>
      </c>
    </row>
    <row r="39">
      <c r="A39" t="inlineStr">
        <is>
          <t>Super senior rate from the nil band to 10 lakh</t>
        </is>
      </c>
      <c r="B39">
        <v>0.2</v>
      </c>
    </row>
  </sheetData>
</worksheet>
</file>

<file path=xl/worksheets/sheet4.xml><?xml version="1.0" encoding="utf-8"?>
<worksheet xmlns="http://schemas.openxmlformats.org/spreadsheetml/2006/main">
  <sheetData>
    <row r="1">
      <c r="A1">
        <v>1</v>
      </c>
    </row>
    <row r="3">
      <c r="A3" t="inlineStr">
        <is>
          <t>New regime taxable income at each surcharge line</t>
        </is>
      </c>
      <c r="B3">
        <f>Rates!B27</f>
        <v>5000000</v>
      </c>
      <c r="C3">
        <f>Rates!B28</f>
        <v>10000000</v>
      </c>
      <c r="D3">
        <f>Rates!B29</f>
        <v>20000000</v>
      </c>
      <c r="E3">
        <f>Rates!B30</f>
        <v>50000000</v>
      </c>
    </row>
    <row r="4">
      <c r="B4">
        <f>MAX(0,B3-Rates!B16)*Rates!B35+MAX(0,B3-Rates!B17)*Rates!B35+MAX(0,B3-Rates!B18)*Rates!B35+MAX(0,B3-Rates!B19)*Rates!B35+MAX(0,B3-Rates!B20)*Rates!B35+MAX(0,B3-Rates!B21)*Rates!B35</f>
        <v>1080000</v>
      </c>
      <c r="C4">
        <f>MAX(0,C3-Rates!B16)*Rates!B35+MAX(0,C3-Rates!B17)*Rates!B35+MAX(0,C3-Rates!B18)*Rates!B35+MAX(0,C3-Rates!B19)*Rates!B35+MAX(0,C3-Rates!B20)*Rates!B35+MAX(0,C3-Rates!B21)*Rates!B35</f>
        <v>2580000</v>
      </c>
      <c r="D4">
        <f>MAX(0,D3-Rates!B16)*Rates!B35+MAX(0,D3-Rates!B17)*Rates!B35+MAX(0,D3-Rates!B18)*Rates!B35+MAX(0,D3-Rates!B19)*Rates!B35+MAX(0,D3-Rates!B20)*Rates!B35+MAX(0,D3-Rates!B21)*Rates!B35</f>
        <v>5580000</v>
      </c>
      <c r="E4">
        <f>MAX(0,E3-Rates!B16)*Rates!B35+MAX(0,E3-Rates!B17)*Rates!B35+MAX(0,E3-Rates!B18)*Rates!B35+MAX(0,E3-Rates!B19)*Rates!B35+MAX(0,E3-Rates!B20)*Rates!B35+MAX(0,E3-Rates!B21)*Rates!B35</f>
        <v>14580000</v>
      </c>
    </row>
    <row r="5">
      <c r="B5">
        <f>MAX(0,B4-(IF(OR(Anchors!A1&lt;&gt;1,B4&lt;=0),0,IF(B3&lt;=Rates!B4,MIN(B4,Rates!B5),IF(B4&gt;B3-Rates!B4,B4-(B3-Rates!B4),0)))))</f>
        <v>1080000</v>
      </c>
      <c r="C5">
        <f>MAX(0,C4-(IF(OR(Anchors!A1&lt;&gt;1,C4&lt;=0),0,IF(C3&lt;=Rates!B4,MIN(C4,Rates!B5),IF(C4&gt;C3-Rates!B4,C4-(C3-Rates!B4),0)))))</f>
        <v>2580000</v>
      </c>
      <c r="D5">
        <f>MAX(0,D4-(IF(OR(Anchors!A1&lt;&gt;1,D4&lt;=0),0,IF(D3&lt;=Rates!B4,MIN(D4,Rates!B5),IF(D4&gt;D3-Rates!B4,D4-(D3-Rates!B4),0)))))</f>
        <v>5580000</v>
      </c>
      <c r="E5">
        <f>MAX(0,E4-(IF(OR(Anchors!A1&lt;&gt;1,E4&lt;=0),0,IF(E3&lt;=Rates!B4,MIN(E4,Rates!B5),IF(E4&gt;E3-Rates!B4,E4-(E3-Rates!B4),0)))))</f>
        <v>14580000</v>
      </c>
    </row>
    <row r="6">
      <c r="B6">
        <f>0</f>
        <v>0</v>
      </c>
      <c r="C6">
        <f>IF(OR(Rates!B31=0,C5&lt;=0),0,IF(C5+C5*Rates!B31&gt;B5+B6+C3-B3,MAX(0,B5+B6+C3-B3-C5),C5*Rates!B31))</f>
        <v>258000</v>
      </c>
      <c r="D6">
        <f>IF(OR(Rates!B32=0,D5&lt;=0),0,IF(D5+D5*Rates!B32&gt;C5+C6+D3-C3,MAX(0,C5+C6+D3-C3-D5),D5*Rates!B32))</f>
        <v>837000</v>
      </c>
      <c r="E6">
        <f>IF(OR(Rates!B33=0,E5&lt;=0),0,IF(E5+E5*Rates!B33&gt;D5+D6+E3-D3,MAX(0,D5+D6+E3-D3-E5),E5*Rates!B33))</f>
        <v>3645000</v>
      </c>
    </row>
    <row r="8">
      <c r="A8" t="inlineStr">
        <is>
          <t>Anchor rebate above uses the regime rule for that block. At these incomes it is zero.</t>
        </is>
      </c>
    </row>
    <row r="10">
      <c r="A10" t="inlineStr">
        <is>
          <t>Old regime, under 60 or non-resident</t>
        </is>
      </c>
      <c r="B10">
        <f>Rates!B27</f>
        <v>5000000</v>
      </c>
      <c r="C10">
        <f>Rates!B28</f>
        <v>10000000</v>
      </c>
      <c r="D10">
        <f>Rates!B29</f>
        <v>20000000</v>
      </c>
      <c r="E10">
        <f>Rates!B30</f>
        <v>50000000</v>
      </c>
    </row>
    <row r="11">
      <c r="B11">
        <f>MAX(0,B10-Rates!B22)*Rates!B36+MAX(0,B10-Rates!B23)*Rates!B37+MAX(0,B10-Rates!B24)*Rates!B38</f>
        <v>1312500</v>
      </c>
      <c r="C11">
        <f>MAX(0,C10-Rates!B22)*Rates!B36+MAX(0,C10-Rates!B23)*Rates!B37+MAX(0,C10-Rates!B24)*Rates!B38</f>
        <v>2812500</v>
      </c>
      <c r="D11">
        <f>MAX(0,D10-Rates!B22)*Rates!B36+MAX(0,D10-Rates!B23)*Rates!B37+MAX(0,D10-Rates!B24)*Rates!B38</f>
        <v>5812500</v>
      </c>
      <c r="E11">
        <f>MAX(0,E10-Rates!B22)*Rates!B36+MAX(0,E10-Rates!B23)*Rates!B37+MAX(0,E10-Rates!B24)*Rates!B38</f>
        <v>14812500</v>
      </c>
    </row>
    <row r="12">
      <c r="B12">
        <f>MAX(0,B11-(IF(AND(Anchors!A1=1,B10&lt;=Rates!B6),MIN(B11,Rates!B7),0)))</f>
        <v>1312500</v>
      </c>
      <c r="C12">
        <f>MAX(0,C11-(IF(AND(Anchors!A1=1,C10&lt;=Rates!B6),MIN(C11,Rates!B7),0)))</f>
        <v>2812500</v>
      </c>
      <c r="D12">
        <f>MAX(0,D11-(IF(AND(Anchors!A1=1,D10&lt;=Rates!B6),MIN(D11,Rates!B7),0)))</f>
        <v>5812500</v>
      </c>
      <c r="E12">
        <f>MAX(0,E11-(IF(AND(Anchors!A1=1,E10&lt;=Rates!B6),MIN(E11,Rates!B7),0)))</f>
        <v>14812500</v>
      </c>
    </row>
    <row r="13">
      <c r="B13">
        <f>0</f>
        <v>0</v>
      </c>
      <c r="C13">
        <f>IF(OR(Rates!B31=0,C12&lt;=0),0,IF(C12+C12*Rates!B31&gt;B12+B13+C10-B10,MAX(0,B12+B13+C10-B10-C12),C12*Rates!B31))</f>
        <v>281250</v>
      </c>
      <c r="D13">
        <f>IF(OR(Rates!B32=0,D12&lt;=0),0,IF(D12+D12*Rates!B32&gt;C12+C13+D10-C10,MAX(0,C12+C13+D10-C10-D12),D12*Rates!B32))</f>
        <v>871875</v>
      </c>
      <c r="E13">
        <f>IF(OR(Rates!B33=0,E12&lt;=0),0,IF(E12+E12*Rates!B33&gt;D12+D13+E10-D10,MAX(0,D12+D13+E10-D10-E12),E12*Rates!B33))</f>
        <v>3703125</v>
      </c>
    </row>
    <row r="16">
      <c r="A16" t="inlineStr">
        <is>
          <t>Old regime, resident aged 60 to 79</t>
        </is>
      </c>
      <c r="B16">
        <f>Rates!B27</f>
        <v>5000000</v>
      </c>
      <c r="C16">
        <f>Rates!B28</f>
        <v>10000000</v>
      </c>
      <c r="D16">
        <f>Rates!B29</f>
        <v>20000000</v>
      </c>
      <c r="E16">
        <f>Rates!B30</f>
        <v>50000000</v>
      </c>
    </row>
    <row r="17">
      <c r="B17">
        <f>MAX(0,B16-Rates!B25)*Rates!B36+MAX(0,B16-Rates!B23)*Rates!B37+MAX(0,B16-Rates!B24)*Rates!B38</f>
        <v>1310000</v>
      </c>
      <c r="C17">
        <f>MAX(0,C16-Rates!B25)*Rates!B36+MAX(0,C16-Rates!B23)*Rates!B37+MAX(0,C16-Rates!B24)*Rates!B38</f>
        <v>2810000</v>
      </c>
      <c r="D17">
        <f>MAX(0,D16-Rates!B25)*Rates!B36+MAX(0,D16-Rates!B23)*Rates!B37+MAX(0,D16-Rates!B24)*Rates!B38</f>
        <v>5810000</v>
      </c>
      <c r="E17">
        <f>MAX(0,E16-Rates!B25)*Rates!B36+MAX(0,E16-Rates!B23)*Rates!B37+MAX(0,E16-Rates!B24)*Rates!B38</f>
        <v>14810000</v>
      </c>
    </row>
    <row r="18">
      <c r="B18">
        <f>MAX(0,B17-(IF(AND(Anchors!A1=1,B16&lt;=Rates!B6),MIN(B17,Rates!B7),0)))</f>
        <v>1310000</v>
      </c>
      <c r="C18">
        <f>MAX(0,C17-(IF(AND(Anchors!A1=1,C16&lt;=Rates!B6),MIN(C17,Rates!B7),0)))</f>
        <v>2810000</v>
      </c>
      <c r="D18">
        <f>MAX(0,D17-(IF(AND(Anchors!A1=1,D16&lt;=Rates!B6),MIN(D17,Rates!B7),0)))</f>
        <v>5810000</v>
      </c>
      <c r="E18">
        <f>MAX(0,E17-(IF(AND(Anchors!A1=1,E16&lt;=Rates!B6),MIN(E17,Rates!B7),0)))</f>
        <v>14810000</v>
      </c>
    </row>
    <row r="19">
      <c r="B19">
        <f>0</f>
        <v>0</v>
      </c>
      <c r="C19">
        <f>IF(OR(Rates!B31=0,C18&lt;=0),0,IF(C18+C18*Rates!B31&gt;B18+B19+C16-B16,MAX(0,B18+B19+C16-B16-C18),C18*Rates!B31))</f>
        <v>281000</v>
      </c>
      <c r="D19">
        <f>IF(OR(Rates!B32=0,D18&lt;=0),0,IF(D18+D18*Rates!B32&gt;C18+C19+D16-C16,MAX(0,C18+C19+D16-C16-D18),D18*Rates!B32))</f>
        <v>871500</v>
      </c>
      <c r="E19">
        <f>IF(OR(Rates!B33=0,E18&lt;=0),0,IF(E18+E18*Rates!B33&gt;D18+D19+E16-D16,MAX(0,D18+D19+E16-D16-E18),E18*Rates!B33))</f>
        <v>3702500</v>
      </c>
    </row>
    <row r="22">
      <c r="A22" t="inlineStr">
        <is>
          <t>Old regime, resident aged 80 or older</t>
        </is>
      </c>
      <c r="B22">
        <f>Rates!B27</f>
        <v>5000000</v>
      </c>
      <c r="C22">
        <f>Rates!B28</f>
        <v>10000000</v>
      </c>
      <c r="D22">
        <f>Rates!B29</f>
        <v>20000000</v>
      </c>
      <c r="E22">
        <f>Rates!B30</f>
        <v>50000000</v>
      </c>
    </row>
    <row r="23">
      <c r="B23">
        <f>MAX(0,B22-Rates!B26)*Rates!B39+MAX(0,B22-Rates!B24)*Rates!B38</f>
        <v>1300000</v>
      </c>
      <c r="C23">
        <f>MAX(0,C22-Rates!B26)*Rates!B39+MAX(0,C22-Rates!B24)*Rates!B38</f>
        <v>2800000</v>
      </c>
      <c r="D23">
        <f>MAX(0,D22-Rates!B26)*Rates!B39+MAX(0,D22-Rates!B24)*Rates!B38</f>
        <v>5800000</v>
      </c>
      <c r="E23">
        <f>MAX(0,E22-Rates!B26)*Rates!B39+MAX(0,E22-Rates!B24)*Rates!B38</f>
        <v>14800000</v>
      </c>
    </row>
    <row r="24">
      <c r="B24">
        <f>MAX(0,B23-(IF(AND(Anchors!A1=1,B22&lt;=Rates!B6),MIN(B23,Rates!B7),0)))</f>
        <v>1300000</v>
      </c>
      <c r="C24">
        <f>MAX(0,C23-(IF(AND(Anchors!A1=1,C22&lt;=Rates!B6),MIN(C23,Rates!B7),0)))</f>
        <v>2800000</v>
      </c>
      <c r="D24">
        <f>MAX(0,D23-(IF(AND(Anchors!A1=1,D22&lt;=Rates!B6),MIN(D23,Rates!B7),0)))</f>
        <v>5800000</v>
      </c>
      <c r="E24">
        <f>MAX(0,E23-(IF(AND(Anchors!A1=1,E22&lt;=Rates!B6),MIN(E23,Rates!B7),0)))</f>
        <v>14800000</v>
      </c>
    </row>
    <row r="25">
      <c r="B25">
        <f>0</f>
        <v>0</v>
      </c>
      <c r="C25">
        <f>IF(OR(Rates!B31=0,C24&lt;=0),0,IF(C24+C24*Rates!B31&gt;B24+B25+C22-B22,MAX(0,B24+B25+C22-B22-C24),C24*Rates!B31))</f>
        <v>280000</v>
      </c>
      <c r="D25">
        <f>IF(OR(Rates!B32=0,D24&lt;=0),0,IF(D24+D24*Rates!B32&gt;C24+C25+D22-C22,MAX(0,C24+C25+D22-C22-D24),D24*Rates!B32))</f>
        <v>870000</v>
      </c>
      <c r="E25">
        <f>IF(OR(Rates!B33=0,E24&lt;=0),0,IF(E24+E24*Rates!B33&gt;D24+D25+E22-D22,MAX(0,D24+D25+E22-D22-E24),E24*Rates!B33))</f>
        <v>3700000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Finfod old vs new tax regime workbook for FY 2026-27 (AY 2027-28).</t>
        </is>
      </c>
    </row>
    <row r="2">
      <c r="A2" t="inlineStr">
        <is>
          <t>Figures checked 28 October 2026 against the Income-tax Act, 2025 as amended by the Finance Act, 2026.</t>
        </is>
      </c>
    </row>
    <row r="3">
      <c r="A3" t="inlineStr">
        <is>
          <t>The Calculator sheet is formulas. Change the inputs in column B. Do not type over a formula.</t>
        </is>
      </c>
    </row>
    <row r="4">
      <c r="A4" t="inlineStr">
        <is>
          <t>Age 0 is under 60. Age 1 is 60 to 79. Age 2 is 80 or older. A non-resident uses the under-60 old slabs and gets no rebate.</t>
        </is>
      </c>
    </row>
    <row r="5">
      <c r="A5" t="inlineStr">
        <is>
          <t>Section 126 uses one combined ceiling of ₹1,00,000. It does not split the ₹25,000 and ₹50,000 health-insurance limits.</t>
        </is>
      </c>
    </row>
    <row r="6">
      <c r="A6" t="inlineStr">
        <is>
          <t>Employer NPS and professional tax are subtracted before the slab tax, without rounding those amounts first.</t>
        </is>
      </c>
    </row>
    <row r="7">
      <c r="A7" t="inlineStr">
        <is>
          <t>Tax, surcharge and cess are rounded separately, then added. That matches the calculator on finfod.com.</t>
        </is>
      </c>
    </row>
    <row r="8">
      <c r="A8" t="inlineStr">
        <is>
          <t>Surcharge marginal relief uses the tax at ₹50 lakh, ₹1 crore, ₹2 crore and, in the old regime, ₹5 crore. Those anchor cells are formulas too.</t>
        </is>
      </c>
    </row>
    <row r="9">
      <c r="A9" t="inlineStr">
        <is>
          <t>The new regime surcharge stops at 25 percent. The old regime uses 37 percent only above ₹5 crore.</t>
        </is>
      </c>
    </row>
    <row r="10">
      <c r="A10" t="inlineStr">
        <is>
          <t>The Breakeven sheet is a salaried resident under 60, with no employer NPS. Column H is the smallest whole-rupee old-regime deduction, other than the standard deduction, that makes old-regime tax no higher than new-regime tax. Those cells are values from the same search the website uses. The tax columns beside them are formulas.</t>
        </is>
      </c>
    </row>
    <row r="11">
      <c r="A11" t="inlineStr">
        <is>
          <t>Salaries on that sheet stay under the surcharge line. The Calculator sheet still applies surcharge when income crosses it.</t>
        </is>
      </c>
    </row>
    <row r="12">
      <c r="A12" t="inlineStr">
        <is>
          <t>This is a learning sheet, not a filed return.</t>
        </is>
      </c>
    </row>
  </sheetData>
</worksheet>
</file>